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b\Desktop\"/>
    </mc:Choice>
  </mc:AlternateContent>
  <bookViews>
    <workbookView xWindow="0" yWindow="0" windowWidth="20490" windowHeight="7605" activeTab="1"/>
  </bookViews>
  <sheets>
    <sheet name="Notes of Finance" sheetId="2" r:id="rId1"/>
    <sheet name="Yearly Cashflow" sheetId="3" r:id="rId2"/>
    <sheet name="Discounted Cashflow Analysis" sheetId="4" r:id="rId3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4" l="1"/>
  <c r="C13" i="4"/>
  <c r="C11" i="4"/>
  <c r="C10" i="4"/>
  <c r="C6" i="4"/>
  <c r="C7" i="4"/>
  <c r="C8" i="4"/>
  <c r="C9" i="4"/>
  <c r="B6" i="4"/>
  <c r="B11" i="4"/>
  <c r="B10" i="4"/>
  <c r="B9" i="4"/>
  <c r="B8" i="4"/>
  <c r="B7" i="4"/>
  <c r="D103" i="3"/>
  <c r="D104" i="3"/>
  <c r="E104" i="3"/>
  <c r="D107" i="3"/>
  <c r="E107" i="3"/>
  <c r="E108" i="3"/>
  <c r="E102" i="3"/>
  <c r="E109" i="3"/>
  <c r="E110" i="3"/>
  <c r="E112" i="3"/>
  <c r="E114" i="3"/>
  <c r="E116" i="3"/>
  <c r="D116" i="3"/>
  <c r="C116" i="3"/>
  <c r="B112" i="3"/>
  <c r="B114" i="3"/>
  <c r="B116" i="3"/>
  <c r="B110" i="3"/>
  <c r="D108" i="3"/>
  <c r="E103" i="3"/>
  <c r="D84" i="3"/>
  <c r="D85" i="3"/>
  <c r="E85" i="3"/>
  <c r="D88" i="3"/>
  <c r="E88" i="3"/>
  <c r="E89" i="3"/>
  <c r="E83" i="3"/>
  <c r="E90" i="3"/>
  <c r="E91" i="3"/>
  <c r="E93" i="3"/>
  <c r="E95" i="3"/>
  <c r="E97" i="3"/>
  <c r="D97" i="3"/>
  <c r="C97" i="3"/>
  <c r="B93" i="3"/>
  <c r="B95" i="3"/>
  <c r="B97" i="3"/>
  <c r="B91" i="3"/>
  <c r="D89" i="3"/>
  <c r="E84" i="3"/>
  <c r="C65" i="3"/>
  <c r="C66" i="3"/>
  <c r="D65" i="3"/>
  <c r="D66" i="3"/>
  <c r="E66" i="3"/>
  <c r="C69" i="3"/>
  <c r="D69" i="3"/>
  <c r="E69" i="3"/>
  <c r="E70" i="3"/>
  <c r="E64" i="3"/>
  <c r="E71" i="3"/>
  <c r="E72" i="3"/>
  <c r="E74" i="3"/>
  <c r="E76" i="3"/>
  <c r="E78" i="3"/>
  <c r="D78" i="3"/>
  <c r="C78" i="3"/>
  <c r="B74" i="3"/>
  <c r="B76" i="3"/>
  <c r="B78" i="3"/>
  <c r="B72" i="3"/>
  <c r="D70" i="3"/>
  <c r="C70" i="3"/>
  <c r="E65" i="3"/>
  <c r="C45" i="3"/>
  <c r="C46" i="3"/>
  <c r="D45" i="3"/>
  <c r="D46" i="3"/>
  <c r="E46" i="3"/>
  <c r="C49" i="3"/>
  <c r="D49" i="3"/>
  <c r="E49" i="3"/>
  <c r="E50" i="3"/>
  <c r="E51" i="3"/>
  <c r="E44" i="3"/>
  <c r="E52" i="3"/>
  <c r="E53" i="3"/>
  <c r="E55" i="3"/>
  <c r="E57" i="3"/>
  <c r="E59" i="3"/>
  <c r="D59" i="3"/>
  <c r="C59" i="3"/>
  <c r="B55" i="3"/>
  <c r="B57" i="3"/>
  <c r="B59" i="3"/>
  <c r="B53" i="3"/>
  <c r="D50" i="3"/>
  <c r="C50" i="3"/>
  <c r="E45" i="3"/>
  <c r="B27" i="3"/>
  <c r="B30" i="3"/>
  <c r="B35" i="3"/>
  <c r="B37" i="3"/>
  <c r="B39" i="3"/>
  <c r="C26" i="3"/>
  <c r="C27" i="3"/>
  <c r="C30" i="3"/>
  <c r="C35" i="3"/>
  <c r="C37" i="3"/>
  <c r="C39" i="3"/>
  <c r="D26" i="3"/>
  <c r="D27" i="3"/>
  <c r="D30" i="3"/>
  <c r="D35" i="3"/>
  <c r="D37" i="3"/>
  <c r="D39" i="3"/>
  <c r="E39" i="3"/>
  <c r="E37" i="3"/>
  <c r="E35" i="3"/>
  <c r="E25" i="3"/>
  <c r="E30" i="3"/>
  <c r="E31" i="3"/>
  <c r="E33" i="3"/>
  <c r="D31" i="3"/>
  <c r="D33" i="3"/>
  <c r="C31" i="3"/>
  <c r="C33" i="3"/>
  <c r="B31" i="3"/>
  <c r="B33" i="3"/>
  <c r="B32" i="3"/>
  <c r="E32" i="3"/>
  <c r="E27" i="3"/>
  <c r="E26" i="3"/>
  <c r="B8" i="3"/>
  <c r="B11" i="3"/>
  <c r="B16" i="3"/>
  <c r="B18" i="3"/>
  <c r="B20" i="3"/>
  <c r="C8" i="3"/>
  <c r="C11" i="3"/>
  <c r="C16" i="3"/>
  <c r="C18" i="3"/>
  <c r="C20" i="3"/>
  <c r="D8" i="3"/>
  <c r="D11" i="3"/>
  <c r="D16" i="3"/>
  <c r="D18" i="3"/>
  <c r="D20" i="3"/>
  <c r="E20" i="3"/>
  <c r="E18" i="3"/>
  <c r="E16" i="3"/>
  <c r="E6" i="3"/>
  <c r="E11" i="3"/>
  <c r="E12" i="3"/>
  <c r="E14" i="3"/>
  <c r="D12" i="3"/>
  <c r="D14" i="3"/>
  <c r="C12" i="3"/>
  <c r="C14" i="3"/>
  <c r="B12" i="3"/>
  <c r="B14" i="3"/>
  <c r="B13" i="3"/>
  <c r="E13" i="3"/>
  <c r="E8" i="3"/>
  <c r="E7" i="3"/>
  <c r="B25" i="2"/>
  <c r="B9" i="2"/>
  <c r="B10" i="2"/>
</calcChain>
</file>

<file path=xl/sharedStrings.xml><?xml version="1.0" encoding="utf-8"?>
<sst xmlns="http://schemas.openxmlformats.org/spreadsheetml/2006/main" count="230" uniqueCount="77">
  <si>
    <t>Asking price per SF</t>
  </si>
  <si>
    <t>Purchasing cost</t>
  </si>
  <si>
    <t>Tenants</t>
  </si>
  <si>
    <t>Tenant 1</t>
  </si>
  <si>
    <t>Currently renting SF</t>
  </si>
  <si>
    <t>Annual value per SF</t>
  </si>
  <si>
    <t>Lease expiry Yrs</t>
  </si>
  <si>
    <t>Tenant 2</t>
  </si>
  <si>
    <t>Annual increase</t>
  </si>
  <si>
    <t>Tenant 3</t>
  </si>
  <si>
    <t>Rental increase $ per SF</t>
  </si>
  <si>
    <t>Beginning of 2nd and 4th year</t>
  </si>
  <si>
    <t>of the PGI</t>
  </si>
  <si>
    <t>Increase of V&amp;C after the expiry of the second lease</t>
  </si>
  <si>
    <t>For the next 3 years</t>
  </si>
  <si>
    <t>With inflation</t>
  </si>
  <si>
    <t>of the remaining operating expenses</t>
  </si>
  <si>
    <t>Elevetor replacement cost</t>
  </si>
  <si>
    <t>in year 4</t>
  </si>
  <si>
    <t>Building Depreciation years</t>
  </si>
  <si>
    <t>Mid year convention for 1st and last year</t>
  </si>
  <si>
    <t>value of improvenemts</t>
  </si>
  <si>
    <t>of the purchasing price</t>
  </si>
  <si>
    <t>Going out cap rate</t>
  </si>
  <si>
    <t>Investor's return/Discount rate</t>
  </si>
  <si>
    <t>Selling costs</t>
  </si>
  <si>
    <t>of sales price</t>
  </si>
  <si>
    <t xml:space="preserve">Investor's period of holding the building </t>
  </si>
  <si>
    <t>Years</t>
  </si>
  <si>
    <t>Income tax</t>
  </si>
  <si>
    <t>Capital gains tax</t>
  </si>
  <si>
    <t>NB: tax depreciation recapture and pure capital gain</t>
  </si>
  <si>
    <t>Year 1</t>
  </si>
  <si>
    <t>Income after tax</t>
  </si>
  <si>
    <t>Year 2</t>
  </si>
  <si>
    <t>Year 3</t>
  </si>
  <si>
    <t>Year 4</t>
  </si>
  <si>
    <t>Year 5</t>
  </si>
  <si>
    <t>NPV</t>
  </si>
  <si>
    <t>Investment Asking Price</t>
  </si>
  <si>
    <t>Total Asking Price</t>
  </si>
  <si>
    <t>Building Size SF</t>
  </si>
  <si>
    <t xml:space="preserve"> Price for Total SF</t>
  </si>
  <si>
    <t>Part 1 QUESTION</t>
  </si>
  <si>
    <t>Investment Returns</t>
  </si>
  <si>
    <t>V&amp;C after first lease expiry</t>
  </si>
  <si>
    <t>Notes</t>
  </si>
  <si>
    <t>For te next 4 years after depreciation</t>
  </si>
  <si>
    <t>Operating Expense per SF</t>
  </si>
  <si>
    <t>per year</t>
  </si>
  <si>
    <t>Market rate of Rent increase per year</t>
  </si>
  <si>
    <t>Market rate of Rent decrease per year</t>
  </si>
  <si>
    <t>Current annual market rate per SF</t>
  </si>
  <si>
    <t>Annual increase in Operation Cost</t>
  </si>
  <si>
    <t>Landlord cover operation cost</t>
  </si>
  <si>
    <t>for a period of three years</t>
  </si>
  <si>
    <t>Elevator Annual Capital Reserve Expense</t>
  </si>
  <si>
    <t>Annual Investment Costs</t>
  </si>
  <si>
    <t>Income</t>
  </si>
  <si>
    <t>Expense</t>
  </si>
  <si>
    <t>Operating expenses</t>
  </si>
  <si>
    <t>Income before tax</t>
  </si>
  <si>
    <t>TOTAL</t>
  </si>
  <si>
    <t>Vacancy and Collection Loss</t>
  </si>
  <si>
    <t>Annual Depreciation Cost (time frame of 40 years due to mid year conventions at begining and end)</t>
  </si>
  <si>
    <t xml:space="preserve">     Total rent per year</t>
  </si>
  <si>
    <t xml:space="preserve">     Total Expense</t>
  </si>
  <si>
    <t>Year 0</t>
  </si>
  <si>
    <t>Yearly Cashflows</t>
  </si>
  <si>
    <t>-</t>
  </si>
  <si>
    <t>Elevator Capital Reserve (assume the cost is distributed evenly on all tenants)</t>
  </si>
  <si>
    <t xml:space="preserve">Elevator Capital Reserve </t>
  </si>
  <si>
    <t>Year</t>
  </si>
  <si>
    <t>Discounted Income after tax</t>
  </si>
  <si>
    <t>Discounted Income Cashflow</t>
  </si>
  <si>
    <t>Annual Interest Rate</t>
  </si>
  <si>
    <t>IRR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</si>
</sst>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7" formatCode="&quot;$&quot;#,##0.00"/>
    <numFmt numFmtId="168" formatCode="&quot;$&quot;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65" fontId="2" fillId="0" borderId="0" xfId="1" applyNumberFormat="1" applyFont="1" applyFill="1"/>
    <xf numFmtId="165" fontId="2" fillId="0" borderId="0" xfId="0" applyNumberFormat="1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2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/>
    </xf>
    <xf numFmtId="43" fontId="8" fillId="0" borderId="0" xfId="1" applyNumberFormat="1" applyFont="1" applyFill="1"/>
    <xf numFmtId="43" fontId="8" fillId="0" borderId="0" xfId="0" applyNumberFormat="1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/>
    <xf numFmtId="43" fontId="7" fillId="0" borderId="0" xfId="1" applyNumberFormat="1" applyFont="1" applyFill="1"/>
    <xf numFmtId="0" fontId="3" fillId="2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9" fontId="2" fillId="0" borderId="0" xfId="0" applyNumberFormat="1" applyFont="1" applyFill="1" applyAlignment="1">
      <alignment horizontal="right"/>
    </xf>
    <xf numFmtId="10" fontId="2" fillId="0" borderId="0" xfId="0" applyNumberFormat="1" applyFont="1" applyFill="1" applyAlignment="1">
      <alignment horizontal="right"/>
    </xf>
    <xf numFmtId="168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3" fontId="8" fillId="0" borderId="0" xfId="1" applyNumberFormat="1" applyFont="1" applyFill="1" applyAlignment="1">
      <alignment horizontal="right"/>
    </xf>
    <xf numFmtId="43" fontId="8" fillId="0" borderId="0" xfId="0" applyNumberFormat="1" applyFont="1" applyFill="1" applyAlignment="1">
      <alignment horizontal="right"/>
    </xf>
    <xf numFmtId="43" fontId="7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right"/>
    </xf>
    <xf numFmtId="43" fontId="2" fillId="0" borderId="0" xfId="0" applyNumberFormat="1" applyFont="1" applyFill="1" applyAlignment="1">
      <alignment horizontal="right"/>
    </xf>
    <xf numFmtId="43" fontId="2" fillId="0" borderId="0" xfId="1" applyNumberFormat="1" applyFont="1" applyFill="1" applyAlignment="1">
      <alignment horizontal="right"/>
    </xf>
    <xf numFmtId="43" fontId="0" fillId="0" borderId="0" xfId="0" applyNumberFormat="1"/>
    <xf numFmtId="10" fontId="0" fillId="0" borderId="0" xfId="0" applyNumberFormat="1"/>
    <xf numFmtId="43" fontId="9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center"/>
    </xf>
    <xf numFmtId="9" fontId="0" fillId="0" borderId="0" xfId="0" applyNumberFormat="1"/>
    <xf numFmtId="167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workbookViewId="0">
      <selection activeCell="G9" sqref="G9"/>
    </sheetView>
  </sheetViews>
  <sheetFormatPr defaultRowHeight="15" x14ac:dyDescent="0.25"/>
  <cols>
    <col min="1" max="1" width="48" bestFit="1" customWidth="1"/>
    <col min="2" max="2" width="31.42578125" customWidth="1"/>
    <col min="3" max="3" width="37.5703125" bestFit="1" customWidth="1"/>
  </cols>
  <sheetData>
    <row r="1" spans="1:4" x14ac:dyDescent="0.25">
      <c r="A1" s="1"/>
      <c r="B1" s="18"/>
      <c r="C1" s="18"/>
      <c r="D1" s="18"/>
    </row>
    <row r="2" spans="1:4" x14ac:dyDescent="0.25">
      <c r="A2" s="2" t="s">
        <v>43</v>
      </c>
      <c r="B2" s="18"/>
      <c r="C2" s="18"/>
      <c r="D2" s="18"/>
    </row>
    <row r="3" spans="1:4" x14ac:dyDescent="0.25">
      <c r="A3" s="2"/>
      <c r="B3" s="18"/>
      <c r="C3" s="18"/>
      <c r="D3" s="18"/>
    </row>
    <row r="4" spans="1:4" x14ac:dyDescent="0.25">
      <c r="A4" s="6" t="s">
        <v>39</v>
      </c>
      <c r="B4" s="18"/>
      <c r="C4" s="18"/>
      <c r="D4" s="18"/>
    </row>
    <row r="5" spans="1:4" x14ac:dyDescent="0.25">
      <c r="A5" s="1" t="s">
        <v>0</v>
      </c>
      <c r="B5" s="19">
        <v>135</v>
      </c>
      <c r="C5" s="18"/>
      <c r="D5" s="18"/>
    </row>
    <row r="6" spans="1:4" x14ac:dyDescent="0.25">
      <c r="A6" s="1" t="s">
        <v>1</v>
      </c>
      <c r="B6" s="20">
        <v>0.02</v>
      </c>
      <c r="C6" s="18"/>
      <c r="D6" s="18"/>
    </row>
    <row r="7" spans="1:4" x14ac:dyDescent="0.25">
      <c r="A7" s="1" t="s">
        <v>41</v>
      </c>
      <c r="B7" s="18">
        <v>60390</v>
      </c>
      <c r="C7" s="18"/>
      <c r="D7" s="18"/>
    </row>
    <row r="8" spans="1:4" x14ac:dyDescent="0.25">
      <c r="A8" s="1" t="s">
        <v>2</v>
      </c>
      <c r="B8" s="18">
        <v>3</v>
      </c>
      <c r="C8" s="18"/>
      <c r="D8" s="18"/>
    </row>
    <row r="9" spans="1:4" x14ac:dyDescent="0.25">
      <c r="A9" s="7" t="s">
        <v>42</v>
      </c>
      <c r="B9" s="19">
        <f>B7*B5</f>
        <v>8152650</v>
      </c>
      <c r="C9" s="18"/>
      <c r="D9" s="18"/>
    </row>
    <row r="10" spans="1:4" x14ac:dyDescent="0.25">
      <c r="A10" s="7" t="s">
        <v>40</v>
      </c>
      <c r="B10" s="19">
        <f>B9+(B6*B9)</f>
        <v>8315703</v>
      </c>
      <c r="C10" s="18"/>
      <c r="D10" s="18"/>
    </row>
    <row r="11" spans="1:4" x14ac:dyDescent="0.25">
      <c r="A11" s="1"/>
      <c r="B11" s="18"/>
      <c r="C11" s="18"/>
      <c r="D11" s="18"/>
    </row>
    <row r="12" spans="1:4" x14ac:dyDescent="0.25">
      <c r="A12" s="8" t="s">
        <v>44</v>
      </c>
      <c r="B12" s="18"/>
      <c r="C12" s="18"/>
      <c r="D12" s="18"/>
    </row>
    <row r="13" spans="1:4" x14ac:dyDescent="0.25">
      <c r="A13" s="3" t="s">
        <v>3</v>
      </c>
      <c r="B13" s="18"/>
      <c r="C13" s="18"/>
      <c r="D13" s="18"/>
    </row>
    <row r="14" spans="1:4" x14ac:dyDescent="0.25">
      <c r="A14" s="1" t="s">
        <v>4</v>
      </c>
      <c r="B14" s="18">
        <v>24156</v>
      </c>
      <c r="C14" s="18"/>
      <c r="D14" s="18"/>
    </row>
    <row r="15" spans="1:4" x14ac:dyDescent="0.25">
      <c r="A15" s="1" t="s">
        <v>5</v>
      </c>
      <c r="B15" s="19">
        <v>25</v>
      </c>
      <c r="C15" s="18"/>
      <c r="D15" s="18"/>
    </row>
    <row r="16" spans="1:4" x14ac:dyDescent="0.25">
      <c r="A16" s="1" t="s">
        <v>6</v>
      </c>
      <c r="B16" s="18">
        <v>2</v>
      </c>
      <c r="C16" s="18"/>
      <c r="D16" s="18"/>
    </row>
    <row r="17" spans="1:4" x14ac:dyDescent="0.25">
      <c r="A17" s="1"/>
      <c r="B17" s="18"/>
      <c r="C17" s="18"/>
      <c r="D17" s="18"/>
    </row>
    <row r="18" spans="1:4" x14ac:dyDescent="0.25">
      <c r="A18" s="3" t="s">
        <v>7</v>
      </c>
      <c r="B18" s="18"/>
      <c r="C18" s="18"/>
      <c r="D18" s="18"/>
    </row>
    <row r="19" spans="1:4" x14ac:dyDescent="0.25">
      <c r="A19" s="1" t="s">
        <v>4</v>
      </c>
      <c r="B19" s="18">
        <v>10266</v>
      </c>
      <c r="C19" s="18"/>
      <c r="D19" s="18"/>
    </row>
    <row r="20" spans="1:4" x14ac:dyDescent="0.25">
      <c r="A20" s="1" t="s">
        <v>5</v>
      </c>
      <c r="B20" s="19">
        <v>23.5</v>
      </c>
      <c r="C20" s="18"/>
      <c r="D20" s="18"/>
    </row>
    <row r="21" spans="1:4" x14ac:dyDescent="0.25">
      <c r="A21" s="1" t="s">
        <v>6</v>
      </c>
      <c r="B21" s="18">
        <v>4</v>
      </c>
      <c r="C21" s="18"/>
      <c r="D21" s="18"/>
    </row>
    <row r="22" spans="1:4" x14ac:dyDescent="0.25">
      <c r="A22" s="1" t="s">
        <v>8</v>
      </c>
      <c r="B22" s="21">
        <v>2.5000000000000001E-2</v>
      </c>
      <c r="C22" s="18"/>
      <c r="D22" s="18"/>
    </row>
    <row r="23" spans="1:4" x14ac:dyDescent="0.25">
      <c r="A23" s="1"/>
      <c r="B23" s="18"/>
      <c r="C23" s="18"/>
      <c r="D23" s="18"/>
    </row>
    <row r="24" spans="1:4" x14ac:dyDescent="0.25">
      <c r="A24" s="3" t="s">
        <v>9</v>
      </c>
      <c r="B24" s="18"/>
      <c r="C24" s="18"/>
      <c r="D24" s="18"/>
    </row>
    <row r="25" spans="1:4" x14ac:dyDescent="0.25">
      <c r="A25" s="1" t="s">
        <v>4</v>
      </c>
      <c r="B25" s="18">
        <f>B7-B14-B19</f>
        <v>25968</v>
      </c>
      <c r="C25" s="18"/>
      <c r="D25" s="18"/>
    </row>
    <row r="26" spans="1:4" x14ac:dyDescent="0.25">
      <c r="A26" s="1" t="s">
        <v>5</v>
      </c>
      <c r="B26" s="19">
        <v>22</v>
      </c>
      <c r="C26" s="18"/>
      <c r="D26" s="18"/>
    </row>
    <row r="27" spans="1:4" x14ac:dyDescent="0.25">
      <c r="A27" s="1" t="s">
        <v>6</v>
      </c>
      <c r="B27" s="18">
        <v>6</v>
      </c>
      <c r="C27" s="18"/>
      <c r="D27" s="18"/>
    </row>
    <row r="28" spans="1:4" x14ac:dyDescent="0.25">
      <c r="A28" s="1" t="s">
        <v>10</v>
      </c>
      <c r="B28" s="18">
        <v>2</v>
      </c>
      <c r="C28" s="18" t="s">
        <v>11</v>
      </c>
      <c r="D28" s="18"/>
    </row>
    <row r="29" spans="1:4" x14ac:dyDescent="0.25">
      <c r="A29" s="1"/>
      <c r="B29" s="18"/>
      <c r="C29" s="18"/>
      <c r="D29" s="18"/>
    </row>
    <row r="30" spans="1:4" x14ac:dyDescent="0.25">
      <c r="A30" s="8" t="s">
        <v>57</v>
      </c>
      <c r="B30" s="18"/>
      <c r="C30" s="18"/>
      <c r="D30" s="18"/>
    </row>
    <row r="31" spans="1:4" x14ac:dyDescent="0.25">
      <c r="A31" s="1" t="s">
        <v>48</v>
      </c>
      <c r="B31" s="19">
        <v>8.5</v>
      </c>
      <c r="C31" s="24" t="s">
        <v>49</v>
      </c>
      <c r="D31" s="18"/>
    </row>
    <row r="32" spans="1:4" x14ac:dyDescent="0.25">
      <c r="A32" s="1" t="s">
        <v>56</v>
      </c>
      <c r="B32" s="22">
        <v>150000</v>
      </c>
      <c r="C32" s="18" t="s">
        <v>55</v>
      </c>
      <c r="D32" s="18"/>
    </row>
    <row r="33" spans="1:4" x14ac:dyDescent="0.25">
      <c r="A33" s="1"/>
      <c r="B33" s="20"/>
      <c r="C33" s="18"/>
      <c r="D33" s="18"/>
    </row>
    <row r="34" spans="1:4" x14ac:dyDescent="0.25">
      <c r="A34" s="8" t="s">
        <v>46</v>
      </c>
      <c r="B34" s="18"/>
      <c r="C34" s="18"/>
      <c r="D34" s="18"/>
    </row>
    <row r="35" spans="1:4" x14ac:dyDescent="0.25">
      <c r="A35" s="1" t="s">
        <v>45</v>
      </c>
      <c r="B35" s="20">
        <v>0.05</v>
      </c>
      <c r="C35" s="18" t="s">
        <v>12</v>
      </c>
      <c r="D35" s="18"/>
    </row>
    <row r="36" spans="1:4" x14ac:dyDescent="0.25">
      <c r="A36" s="1" t="s">
        <v>13</v>
      </c>
      <c r="B36" s="20">
        <v>0.1</v>
      </c>
      <c r="C36" s="18" t="s">
        <v>12</v>
      </c>
      <c r="D36" s="18"/>
    </row>
    <row r="37" spans="1:4" x14ac:dyDescent="0.25">
      <c r="A37" s="8"/>
      <c r="B37" s="18"/>
      <c r="C37" s="18"/>
      <c r="D37" s="18"/>
    </row>
    <row r="38" spans="1:4" x14ac:dyDescent="0.25">
      <c r="A38" s="1" t="s">
        <v>52</v>
      </c>
      <c r="B38" s="19">
        <v>19.75</v>
      </c>
      <c r="C38" s="18"/>
      <c r="D38" s="18"/>
    </row>
    <row r="39" spans="1:4" x14ac:dyDescent="0.25">
      <c r="A39" s="1" t="s">
        <v>51</v>
      </c>
      <c r="B39" s="23">
        <v>3.5000000000000003E-2</v>
      </c>
      <c r="C39" s="18" t="s">
        <v>14</v>
      </c>
      <c r="D39" s="18"/>
    </row>
    <row r="40" spans="1:4" x14ac:dyDescent="0.25">
      <c r="A40" s="1" t="s">
        <v>50</v>
      </c>
      <c r="B40" s="23">
        <v>2.5000000000000001E-2</v>
      </c>
      <c r="C40" s="18" t="s">
        <v>47</v>
      </c>
      <c r="D40" s="18"/>
    </row>
    <row r="41" spans="1:4" x14ac:dyDescent="0.25">
      <c r="A41" s="1"/>
      <c r="B41" s="18"/>
      <c r="C41" s="18"/>
      <c r="D41" s="18"/>
    </row>
    <row r="42" spans="1:4" x14ac:dyDescent="0.25">
      <c r="A42" s="1" t="s">
        <v>53</v>
      </c>
      <c r="B42" s="23">
        <v>2.5000000000000001E-2</v>
      </c>
      <c r="C42" s="18" t="s">
        <v>15</v>
      </c>
      <c r="D42" s="18"/>
    </row>
    <row r="43" spans="1:4" x14ac:dyDescent="0.25">
      <c r="A43" s="1" t="s">
        <v>54</v>
      </c>
      <c r="B43" s="20">
        <v>0.25</v>
      </c>
      <c r="C43" s="18" t="s">
        <v>16</v>
      </c>
      <c r="D43" s="18"/>
    </row>
    <row r="44" spans="1:4" x14ac:dyDescent="0.25">
      <c r="A44" s="1"/>
      <c r="B44" s="18"/>
      <c r="C44" s="18"/>
      <c r="D44" s="18"/>
    </row>
    <row r="45" spans="1:4" x14ac:dyDescent="0.25">
      <c r="A45" s="1" t="s">
        <v>17</v>
      </c>
      <c r="B45" s="18">
        <v>450000</v>
      </c>
      <c r="C45" s="18" t="s">
        <v>18</v>
      </c>
      <c r="D45" s="18"/>
    </row>
    <row r="46" spans="1:4" x14ac:dyDescent="0.25">
      <c r="A46" s="1"/>
      <c r="B46" s="18"/>
      <c r="C46" s="18"/>
      <c r="D46" s="18"/>
    </row>
    <row r="47" spans="1:4" x14ac:dyDescent="0.25">
      <c r="A47" s="1" t="s">
        <v>19</v>
      </c>
      <c r="B47" s="18">
        <v>39</v>
      </c>
      <c r="C47" s="18" t="s">
        <v>20</v>
      </c>
      <c r="D47" s="18"/>
    </row>
    <row r="48" spans="1:4" x14ac:dyDescent="0.25">
      <c r="A48" s="1" t="s">
        <v>21</v>
      </c>
      <c r="B48" s="20">
        <v>0.8</v>
      </c>
      <c r="C48" s="18" t="s">
        <v>22</v>
      </c>
      <c r="D48" s="18"/>
    </row>
    <row r="49" spans="1:4" x14ac:dyDescent="0.25">
      <c r="A49" s="1"/>
      <c r="B49" s="18"/>
      <c r="C49" s="18"/>
      <c r="D49" s="18"/>
    </row>
    <row r="50" spans="1:4" x14ac:dyDescent="0.25">
      <c r="A50" s="1" t="s">
        <v>23</v>
      </c>
      <c r="B50" s="21">
        <v>8.5000000000000006E-2</v>
      </c>
      <c r="C50" s="18"/>
      <c r="D50" s="18"/>
    </row>
    <row r="51" spans="1:4" x14ac:dyDescent="0.25">
      <c r="A51" s="1" t="s">
        <v>24</v>
      </c>
      <c r="B51" s="20">
        <v>0.1</v>
      </c>
      <c r="C51" s="18"/>
      <c r="D51" s="18"/>
    </row>
    <row r="52" spans="1:4" x14ac:dyDescent="0.25">
      <c r="A52" s="1" t="s">
        <v>25</v>
      </c>
      <c r="B52" s="20">
        <v>0.02</v>
      </c>
      <c r="C52" s="18" t="s">
        <v>26</v>
      </c>
      <c r="D52" s="18"/>
    </row>
    <row r="53" spans="1:4" x14ac:dyDescent="0.25">
      <c r="A53" s="1"/>
      <c r="B53" s="18"/>
      <c r="C53" s="18"/>
      <c r="D53" s="18"/>
    </row>
    <row r="54" spans="1:4" x14ac:dyDescent="0.25">
      <c r="A54" s="1" t="s">
        <v>27</v>
      </c>
      <c r="B54" s="18">
        <v>5</v>
      </c>
      <c r="C54" s="18" t="s">
        <v>28</v>
      </c>
      <c r="D54" s="18"/>
    </row>
    <row r="55" spans="1:4" x14ac:dyDescent="0.25">
      <c r="A55" s="1"/>
      <c r="B55" s="18"/>
      <c r="C55" s="18"/>
      <c r="D55" s="18"/>
    </row>
    <row r="56" spans="1:4" x14ac:dyDescent="0.25">
      <c r="A56" s="1" t="s">
        <v>29</v>
      </c>
      <c r="B56" s="20">
        <v>0.35</v>
      </c>
      <c r="C56" s="18"/>
      <c r="D56" s="18"/>
    </row>
    <row r="57" spans="1:4" x14ac:dyDescent="0.25">
      <c r="A57" s="1" t="s">
        <v>30</v>
      </c>
      <c r="B57" s="20">
        <v>0.17</v>
      </c>
      <c r="C57" s="18"/>
      <c r="D57" s="18"/>
    </row>
    <row r="58" spans="1:4" x14ac:dyDescent="0.25">
      <c r="A58" s="1"/>
      <c r="B58" s="18"/>
      <c r="C58" s="18"/>
      <c r="D58" s="18"/>
    </row>
    <row r="59" spans="1:4" x14ac:dyDescent="0.25">
      <c r="A59" s="1" t="s">
        <v>31</v>
      </c>
      <c r="B59" s="18"/>
      <c r="C59" s="18"/>
      <c r="D59" s="18"/>
    </row>
    <row r="60" spans="1:4" x14ac:dyDescent="0.25">
      <c r="A60" s="1"/>
      <c r="B60" s="18"/>
      <c r="C60" s="18"/>
      <c r="D60" s="18"/>
    </row>
    <row r="61" spans="1:4" x14ac:dyDescent="0.25">
      <c r="A61" s="8"/>
      <c r="B61" s="18"/>
      <c r="C61" s="18"/>
      <c r="D61" s="18"/>
    </row>
    <row r="62" spans="1:4" x14ac:dyDescent="0.25">
      <c r="B62" s="24"/>
      <c r="C62" s="24"/>
      <c r="D62" s="24"/>
    </row>
    <row r="63" spans="1:4" x14ac:dyDescent="0.25">
      <c r="A63" s="1"/>
      <c r="B63" s="18"/>
      <c r="C63" s="18"/>
      <c r="D63" s="18"/>
    </row>
    <row r="64" spans="1:4" x14ac:dyDescent="0.25">
      <c r="A64" s="1"/>
      <c r="B64" s="18"/>
      <c r="C64" s="18"/>
      <c r="D64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tabSelected="1" workbookViewId="0">
      <selection activeCell="F39" sqref="F39"/>
    </sheetView>
  </sheetViews>
  <sheetFormatPr defaultRowHeight="15" x14ac:dyDescent="0.25"/>
  <cols>
    <col min="1" max="1" width="91.140625" bestFit="1" customWidth="1"/>
    <col min="2" max="2" width="12.28515625" bestFit="1" customWidth="1"/>
    <col min="3" max="3" width="11.5703125" bestFit="1" customWidth="1"/>
    <col min="4" max="4" width="12.28515625" bestFit="1" customWidth="1"/>
    <col min="5" max="5" width="13.28515625" bestFit="1" customWidth="1"/>
  </cols>
  <sheetData>
    <row r="1" spans="1:5" x14ac:dyDescent="0.25">
      <c r="A1" s="1"/>
      <c r="B1" s="18"/>
      <c r="C1" s="18"/>
      <c r="D1" s="18"/>
      <c r="E1" s="1"/>
    </row>
    <row r="2" spans="1:5" x14ac:dyDescent="0.25">
      <c r="A2" s="17" t="s">
        <v>68</v>
      </c>
      <c r="B2" s="25"/>
      <c r="C2" s="18"/>
      <c r="D2" s="18"/>
      <c r="E2" s="1"/>
    </row>
    <row r="3" spans="1:5" x14ac:dyDescent="0.25">
      <c r="B3" s="18"/>
      <c r="C3" s="25"/>
      <c r="D3" s="18"/>
      <c r="E3" s="1"/>
    </row>
    <row r="4" spans="1:5" x14ac:dyDescent="0.25">
      <c r="A4" s="9" t="s">
        <v>67</v>
      </c>
      <c r="B4" s="26" t="s">
        <v>3</v>
      </c>
      <c r="C4" s="26" t="s">
        <v>7</v>
      </c>
      <c r="D4" s="26" t="s">
        <v>9</v>
      </c>
      <c r="E4" s="11" t="s">
        <v>62</v>
      </c>
    </row>
    <row r="5" spans="1:5" x14ac:dyDescent="0.25">
      <c r="A5" s="11" t="s">
        <v>58</v>
      </c>
      <c r="B5" s="26"/>
      <c r="C5" s="26"/>
      <c r="D5" s="26"/>
      <c r="E5" s="10"/>
    </row>
    <row r="6" spans="1:5" x14ac:dyDescent="0.25">
      <c r="A6" s="10" t="s">
        <v>4</v>
      </c>
      <c r="B6" s="27">
        <v>24156</v>
      </c>
      <c r="C6" s="27">
        <v>10266</v>
      </c>
      <c r="D6" s="27">
        <v>25968</v>
      </c>
      <c r="E6" s="12">
        <f>SUM(B6:D6)</f>
        <v>60390</v>
      </c>
    </row>
    <row r="7" spans="1:5" x14ac:dyDescent="0.25">
      <c r="A7" s="10" t="s">
        <v>5</v>
      </c>
      <c r="B7" s="27">
        <v>25</v>
      </c>
      <c r="C7" s="27">
        <v>23.5</v>
      </c>
      <c r="D7" s="27">
        <v>22</v>
      </c>
      <c r="E7" s="12">
        <f t="shared" ref="E7:E20" si="0">SUM(B7:D7)</f>
        <v>70.5</v>
      </c>
    </row>
    <row r="8" spans="1:5" x14ac:dyDescent="0.25">
      <c r="A8" s="10" t="s">
        <v>65</v>
      </c>
      <c r="B8" s="27">
        <f>B6*B7</f>
        <v>603900</v>
      </c>
      <c r="C8" s="27">
        <f>C6*C7</f>
        <v>241251</v>
      </c>
      <c r="D8" s="27">
        <f>D6*D7</f>
        <v>571296</v>
      </c>
      <c r="E8" s="12">
        <f t="shared" si="0"/>
        <v>1416447</v>
      </c>
    </row>
    <row r="9" spans="1:5" x14ac:dyDescent="0.25">
      <c r="A9" s="10"/>
      <c r="B9" s="27"/>
      <c r="C9" s="27"/>
      <c r="D9" s="27"/>
      <c r="E9" s="12"/>
    </row>
    <row r="10" spans="1:5" x14ac:dyDescent="0.25">
      <c r="A10" s="11" t="s">
        <v>59</v>
      </c>
      <c r="B10" s="27"/>
      <c r="C10" s="27"/>
      <c r="D10" s="27"/>
      <c r="E10" s="12"/>
    </row>
    <row r="11" spans="1:5" x14ac:dyDescent="0.25">
      <c r="A11" s="10" t="s">
        <v>60</v>
      </c>
      <c r="B11" s="28">
        <f>-8.5*B6</f>
        <v>-205326</v>
      </c>
      <c r="C11" s="28">
        <f>-8.5*C6</f>
        <v>-87261</v>
      </c>
      <c r="D11" s="28">
        <f>-8.5*D6</f>
        <v>-220728</v>
      </c>
      <c r="E11" s="13">
        <f>-8.5*E6</f>
        <v>-513315</v>
      </c>
    </row>
    <row r="12" spans="1:5" x14ac:dyDescent="0.25">
      <c r="A12" s="10" t="s">
        <v>64</v>
      </c>
      <c r="B12" s="28">
        <f>-0.5%*135*B6</f>
        <v>-16305.300000000001</v>
      </c>
      <c r="C12" s="28">
        <f>-0.5%*135*C6</f>
        <v>-6929.55</v>
      </c>
      <c r="D12" s="28">
        <f>-0.5%*135*D6</f>
        <v>-17528.400000000001</v>
      </c>
      <c r="E12" s="12">
        <f>-0.5%*135*E6</f>
        <v>-40763.25</v>
      </c>
    </row>
    <row r="13" spans="1:5" x14ac:dyDescent="0.25">
      <c r="A13" s="10" t="s">
        <v>70</v>
      </c>
      <c r="B13" s="28">
        <f>-50000</f>
        <v>-50000</v>
      </c>
      <c r="C13" s="28">
        <v>-50000</v>
      </c>
      <c r="D13" s="28">
        <v>-50000</v>
      </c>
      <c r="E13" s="12">
        <f>SUM(B13:D13)</f>
        <v>-150000</v>
      </c>
    </row>
    <row r="14" spans="1:5" x14ac:dyDescent="0.25">
      <c r="A14" s="10" t="s">
        <v>66</v>
      </c>
      <c r="B14" s="28">
        <f>SUM(B11:B12)</f>
        <v>-221631.3</v>
      </c>
      <c r="C14" s="28">
        <f>SUM(C11:C12)</f>
        <v>-94190.55</v>
      </c>
      <c r="D14" s="28">
        <f>SUM(D11:D12)</f>
        <v>-238256.4</v>
      </c>
      <c r="E14" s="12">
        <f>SUM(E11:E12)</f>
        <v>-554078.25</v>
      </c>
    </row>
    <row r="15" spans="1:5" x14ac:dyDescent="0.25">
      <c r="A15" s="10"/>
      <c r="B15" s="28"/>
      <c r="C15" s="28"/>
      <c r="D15" s="28"/>
      <c r="E15" s="12"/>
    </row>
    <row r="16" spans="1:5" x14ac:dyDescent="0.25">
      <c r="A16" s="14" t="s">
        <v>61</v>
      </c>
      <c r="B16" s="28">
        <f>SUM(B8:B11)</f>
        <v>398574</v>
      </c>
      <c r="C16" s="28">
        <f>SUM(C8:C11)</f>
        <v>153990</v>
      </c>
      <c r="D16" s="28">
        <f>SUM(D8:D11)</f>
        <v>350568</v>
      </c>
      <c r="E16" s="12">
        <f t="shared" si="0"/>
        <v>903132</v>
      </c>
    </row>
    <row r="17" spans="1:5" x14ac:dyDescent="0.25">
      <c r="A17" s="15"/>
      <c r="B17" s="28"/>
      <c r="C17" s="28"/>
      <c r="D17" s="28"/>
      <c r="E17" s="12"/>
    </row>
    <row r="18" spans="1:5" x14ac:dyDescent="0.25">
      <c r="A18" s="10" t="s">
        <v>29</v>
      </c>
      <c r="B18" s="28">
        <f>-B16*35%</f>
        <v>-139500.9</v>
      </c>
      <c r="C18" s="28">
        <f>-C16*35%</f>
        <v>-53896.5</v>
      </c>
      <c r="D18" s="28">
        <f>-D16*35%</f>
        <v>-122698.79999999999</v>
      </c>
      <c r="E18" s="12">
        <f t="shared" si="0"/>
        <v>-316096.19999999995</v>
      </c>
    </row>
    <row r="19" spans="1:5" x14ac:dyDescent="0.25">
      <c r="A19" s="10"/>
      <c r="B19" s="28"/>
      <c r="C19" s="28"/>
      <c r="D19" s="28"/>
      <c r="E19" s="12"/>
    </row>
    <row r="20" spans="1:5" x14ac:dyDescent="0.25">
      <c r="A20" s="15" t="s">
        <v>33</v>
      </c>
      <c r="B20" s="29">
        <f>SUM(B16:B18)</f>
        <v>259073.1</v>
      </c>
      <c r="C20" s="29">
        <f>SUM(C16:C18)</f>
        <v>100093.5</v>
      </c>
      <c r="D20" s="29">
        <f>SUM(D16:D18)</f>
        <v>227869.2</v>
      </c>
      <c r="E20" s="16">
        <f t="shared" si="0"/>
        <v>587035.80000000005</v>
      </c>
    </row>
    <row r="21" spans="1:5" x14ac:dyDescent="0.25">
      <c r="A21" s="15"/>
      <c r="B21" s="29"/>
      <c r="C21" s="29"/>
      <c r="D21" s="29"/>
      <c r="E21" s="16"/>
    </row>
    <row r="22" spans="1:5" x14ac:dyDescent="0.25">
      <c r="A22" s="15"/>
      <c r="B22" s="29"/>
      <c r="C22" s="29"/>
      <c r="D22" s="29"/>
      <c r="E22" s="16"/>
    </row>
    <row r="23" spans="1:5" x14ac:dyDescent="0.25">
      <c r="A23" s="9" t="s">
        <v>32</v>
      </c>
      <c r="B23" s="26" t="s">
        <v>3</v>
      </c>
      <c r="C23" s="26" t="s">
        <v>7</v>
      </c>
      <c r="D23" s="26" t="s">
        <v>9</v>
      </c>
      <c r="E23" s="11" t="s">
        <v>62</v>
      </c>
    </row>
    <row r="24" spans="1:5" x14ac:dyDescent="0.25">
      <c r="A24" s="11" t="s">
        <v>58</v>
      </c>
      <c r="B24" s="26"/>
      <c r="C24" s="26"/>
      <c r="D24" s="26"/>
      <c r="E24" s="10"/>
    </row>
    <row r="25" spans="1:5" x14ac:dyDescent="0.25">
      <c r="A25" s="10" t="s">
        <v>4</v>
      </c>
      <c r="B25" s="27">
        <v>24156</v>
      </c>
      <c r="C25" s="27">
        <v>10266</v>
      </c>
      <c r="D25" s="27">
        <v>25968</v>
      </c>
      <c r="E25" s="12">
        <f>SUM(B25:D25)</f>
        <v>60390</v>
      </c>
    </row>
    <row r="26" spans="1:5" x14ac:dyDescent="0.25">
      <c r="A26" s="10" t="s">
        <v>5</v>
      </c>
      <c r="B26" s="27">
        <v>25</v>
      </c>
      <c r="C26" s="27">
        <f>23.5*102.5%</f>
        <v>24.087499999999999</v>
      </c>
      <c r="D26" s="27">
        <f>22+2</f>
        <v>24</v>
      </c>
      <c r="E26" s="12">
        <f>SUM(B26:D26)</f>
        <v>73.087500000000006</v>
      </c>
    </row>
    <row r="27" spans="1:5" x14ac:dyDescent="0.25">
      <c r="A27" s="10" t="s">
        <v>65</v>
      </c>
      <c r="B27" s="27">
        <f>B25*B26</f>
        <v>603900</v>
      </c>
      <c r="C27" s="27">
        <f>C25*C26</f>
        <v>247282.27499999999</v>
      </c>
      <c r="D27" s="27">
        <f>D25*D26</f>
        <v>623232</v>
      </c>
      <c r="E27" s="12">
        <f t="shared" ref="E27" si="1">SUM(B27:D27)</f>
        <v>1474414.2749999999</v>
      </c>
    </row>
    <row r="28" spans="1:5" x14ac:dyDescent="0.25">
      <c r="A28" s="10"/>
      <c r="B28" s="27"/>
      <c r="C28" s="27"/>
      <c r="D28" s="27"/>
      <c r="E28" s="12"/>
    </row>
    <row r="29" spans="1:5" x14ac:dyDescent="0.25">
      <c r="A29" s="11" t="s">
        <v>59</v>
      </c>
      <c r="B29" s="27"/>
      <c r="C29" s="27"/>
      <c r="D29" s="27"/>
      <c r="E29" s="12"/>
    </row>
    <row r="30" spans="1:5" x14ac:dyDescent="0.25">
      <c r="A30" s="10" t="s">
        <v>60</v>
      </c>
      <c r="B30" s="28">
        <f>-8.5*102.5%*B25</f>
        <v>-210459.14999999997</v>
      </c>
      <c r="C30" s="28">
        <f>-8.5*102.5%*C25</f>
        <v>-89442.52499999998</v>
      </c>
      <c r="D30" s="28">
        <f>-8.5*102.5%*D25</f>
        <v>-226246.19999999995</v>
      </c>
      <c r="E30" s="13">
        <f>-8.5*102.5%*E25</f>
        <v>-526147.87499999988</v>
      </c>
    </row>
    <row r="31" spans="1:5" x14ac:dyDescent="0.25">
      <c r="A31" s="10" t="s">
        <v>64</v>
      </c>
      <c r="B31" s="28">
        <f>-0.5%*135*B25</f>
        <v>-16305.300000000001</v>
      </c>
      <c r="C31" s="28">
        <f>-0.5%*135*C25</f>
        <v>-6929.55</v>
      </c>
      <c r="D31" s="28">
        <f>-0.5%*135*D25</f>
        <v>-17528.400000000001</v>
      </c>
      <c r="E31" s="12">
        <f>-0.5%*135*E25</f>
        <v>-40763.25</v>
      </c>
    </row>
    <row r="32" spans="1:5" x14ac:dyDescent="0.25">
      <c r="A32" s="10" t="s">
        <v>70</v>
      </c>
      <c r="B32" s="28">
        <f>-50000</f>
        <v>-50000</v>
      </c>
      <c r="C32" s="28">
        <v>-50000</v>
      </c>
      <c r="D32" s="28">
        <v>-50000</v>
      </c>
      <c r="E32" s="12">
        <f t="shared" ref="E32" si="2">SUM(B32:D32)</f>
        <v>-150000</v>
      </c>
    </row>
    <row r="33" spans="1:5" x14ac:dyDescent="0.25">
      <c r="A33" s="10" t="s">
        <v>66</v>
      </c>
      <c r="B33" s="28">
        <f>SUM(B30:B31)</f>
        <v>-226764.44999999995</v>
      </c>
      <c r="C33" s="28">
        <f>SUM(C30:C31)</f>
        <v>-96372.074999999983</v>
      </c>
      <c r="D33" s="28">
        <f>SUM(D30:D31)</f>
        <v>-243774.59999999995</v>
      </c>
      <c r="E33" s="12">
        <f>SUM(E30:E31)</f>
        <v>-566911.12499999988</v>
      </c>
    </row>
    <row r="34" spans="1:5" x14ac:dyDescent="0.25">
      <c r="A34" s="10"/>
      <c r="B34" s="28"/>
      <c r="C34" s="28"/>
      <c r="D34" s="28"/>
      <c r="E34" s="12"/>
    </row>
    <row r="35" spans="1:5" x14ac:dyDescent="0.25">
      <c r="A35" s="14" t="s">
        <v>61</v>
      </c>
      <c r="B35" s="28">
        <f>SUM(B27:B30)</f>
        <v>393440.85000000003</v>
      </c>
      <c r="C35" s="28">
        <f>SUM(C27:C30)</f>
        <v>157839.75</v>
      </c>
      <c r="D35" s="28">
        <f>SUM(D27:D30)</f>
        <v>396985.80000000005</v>
      </c>
      <c r="E35" s="12">
        <f t="shared" ref="E35" si="3">SUM(B35:D35)</f>
        <v>948266.40000000014</v>
      </c>
    </row>
    <row r="36" spans="1:5" x14ac:dyDescent="0.25">
      <c r="A36" s="15"/>
      <c r="B36" s="28"/>
      <c r="C36" s="28"/>
      <c r="D36" s="28"/>
      <c r="E36" s="12"/>
    </row>
    <row r="37" spans="1:5" x14ac:dyDescent="0.25">
      <c r="A37" s="10" t="s">
        <v>29</v>
      </c>
      <c r="B37" s="28">
        <f>-B35*35%</f>
        <v>-137704.29750000002</v>
      </c>
      <c r="C37" s="28">
        <f>-C35*35%</f>
        <v>-55243.912499999999</v>
      </c>
      <c r="D37" s="28">
        <f>-D35*35%</f>
        <v>-138945.03</v>
      </c>
      <c r="E37" s="12">
        <f t="shared" ref="E37" si="4">SUM(B37:D37)</f>
        <v>-331893.24</v>
      </c>
    </row>
    <row r="38" spans="1:5" x14ac:dyDescent="0.25">
      <c r="A38" s="10"/>
      <c r="B38" s="28"/>
      <c r="C38" s="28"/>
      <c r="D38" s="28"/>
      <c r="E38" s="12"/>
    </row>
    <row r="39" spans="1:5" x14ac:dyDescent="0.25">
      <c r="A39" s="15" t="s">
        <v>33</v>
      </c>
      <c r="B39" s="29">
        <f>SUM(B35:B37)</f>
        <v>255736.55250000002</v>
      </c>
      <c r="C39" s="29">
        <f>SUM(C35:C37)</f>
        <v>102595.83749999999</v>
      </c>
      <c r="D39" s="29">
        <f>SUM(D35:D37)</f>
        <v>258040.77000000005</v>
      </c>
      <c r="E39" s="16">
        <f t="shared" ref="E39" si="5">SUM(B39:D39)</f>
        <v>616373.16</v>
      </c>
    </row>
    <row r="40" spans="1:5" x14ac:dyDescent="0.25">
      <c r="A40" s="15"/>
      <c r="B40" s="29"/>
      <c r="C40" s="29"/>
      <c r="D40" s="29"/>
      <c r="E40" s="16"/>
    </row>
    <row r="41" spans="1:5" x14ac:dyDescent="0.25">
      <c r="A41" s="15"/>
      <c r="B41" s="29"/>
      <c r="C41" s="29"/>
      <c r="D41" s="29"/>
      <c r="E41" s="16"/>
    </row>
    <row r="42" spans="1:5" x14ac:dyDescent="0.25">
      <c r="A42" s="9" t="s">
        <v>34</v>
      </c>
      <c r="B42" s="26" t="s">
        <v>3</v>
      </c>
      <c r="C42" s="26" t="s">
        <v>7</v>
      </c>
      <c r="D42" s="26" t="s">
        <v>9</v>
      </c>
      <c r="E42" s="11" t="s">
        <v>62</v>
      </c>
    </row>
    <row r="43" spans="1:5" x14ac:dyDescent="0.25">
      <c r="A43" s="11" t="s">
        <v>58</v>
      </c>
      <c r="B43" s="26"/>
      <c r="C43" s="26"/>
      <c r="D43" s="26"/>
      <c r="E43" s="10"/>
    </row>
    <row r="44" spans="1:5" x14ac:dyDescent="0.25">
      <c r="A44" s="10" t="s">
        <v>4</v>
      </c>
      <c r="B44" s="27">
        <v>24156</v>
      </c>
      <c r="C44" s="27">
        <v>10266</v>
      </c>
      <c r="D44" s="27">
        <v>25968</v>
      </c>
      <c r="E44" s="12">
        <f>SUM(B44:D44)</f>
        <v>60390</v>
      </c>
    </row>
    <row r="45" spans="1:5" x14ac:dyDescent="0.25">
      <c r="A45" s="10" t="s">
        <v>5</v>
      </c>
      <c r="B45" s="27" t="s">
        <v>69</v>
      </c>
      <c r="C45" s="27">
        <f>23.5*((102.5%)^2)</f>
        <v>24.689687499999998</v>
      </c>
      <c r="D45" s="27">
        <f>22+2</f>
        <v>24</v>
      </c>
      <c r="E45" s="12">
        <f t="shared" ref="E45:E46" si="6">SUM(B45:D45)</f>
        <v>48.689687499999998</v>
      </c>
    </row>
    <row r="46" spans="1:5" x14ac:dyDescent="0.25">
      <c r="A46" s="10" t="s">
        <v>65</v>
      </c>
      <c r="B46" s="27" t="s">
        <v>69</v>
      </c>
      <c r="C46" s="27">
        <f>C44*C45</f>
        <v>253464.33187499997</v>
      </c>
      <c r="D46" s="27">
        <f>D44*D45</f>
        <v>623232</v>
      </c>
      <c r="E46" s="12">
        <f t="shared" si="6"/>
        <v>876696.33187499992</v>
      </c>
    </row>
    <row r="47" spans="1:5" x14ac:dyDescent="0.25">
      <c r="A47" s="10"/>
      <c r="B47" s="27"/>
      <c r="C47" s="27"/>
      <c r="D47" s="27"/>
      <c r="E47" s="12"/>
    </row>
    <row r="48" spans="1:5" x14ac:dyDescent="0.25">
      <c r="A48" s="11" t="s">
        <v>59</v>
      </c>
      <c r="B48" s="27"/>
      <c r="C48" s="27"/>
      <c r="D48" s="27"/>
      <c r="E48" s="12"/>
    </row>
    <row r="49" spans="1:5" x14ac:dyDescent="0.25">
      <c r="A49" s="10" t="s">
        <v>60</v>
      </c>
      <c r="B49" s="28" t="s">
        <v>69</v>
      </c>
      <c r="C49" s="28">
        <f>-8.5*((102.5%)^2)*C44</f>
        <v>-91678.588124999995</v>
      </c>
      <c r="D49" s="28">
        <f>-8.5*((102.5%)^2)*D44</f>
        <v>-231902.35499999998</v>
      </c>
      <c r="E49" s="13">
        <f>SUM(C49:D49)</f>
        <v>-323580.94312499999</v>
      </c>
    </row>
    <row r="50" spans="1:5" x14ac:dyDescent="0.25">
      <c r="A50" s="10" t="s">
        <v>63</v>
      </c>
      <c r="B50" s="28" t="s">
        <v>69</v>
      </c>
      <c r="C50" s="28">
        <f>-5%*C46</f>
        <v>-12673.216593749999</v>
      </c>
      <c r="D50" s="28">
        <f>-5%*D46</f>
        <v>-31161.600000000002</v>
      </c>
      <c r="E50" s="13">
        <f>-5%*E46</f>
        <v>-43834.816593750002</v>
      </c>
    </row>
    <row r="51" spans="1:5" x14ac:dyDescent="0.25">
      <c r="A51" s="10" t="s">
        <v>71</v>
      </c>
      <c r="B51" s="28" t="s">
        <v>69</v>
      </c>
      <c r="C51" s="28">
        <v>-75000</v>
      </c>
      <c r="D51" s="28">
        <v>-75000</v>
      </c>
      <c r="E51" s="12">
        <f t="shared" ref="E51" si="7">SUM(B51:D51)</f>
        <v>-150000</v>
      </c>
    </row>
    <row r="52" spans="1:5" x14ac:dyDescent="0.25">
      <c r="A52" s="10" t="s">
        <v>64</v>
      </c>
      <c r="B52" s="28" t="s">
        <v>69</v>
      </c>
      <c r="C52" s="28" t="s">
        <v>69</v>
      </c>
      <c r="D52" s="28" t="s">
        <v>69</v>
      </c>
      <c r="E52" s="12">
        <f>-0.5%*135*E44</f>
        <v>-40763.25</v>
      </c>
    </row>
    <row r="53" spans="1:5" x14ac:dyDescent="0.25">
      <c r="A53" s="10" t="s">
        <v>66</v>
      </c>
      <c r="B53" s="28">
        <f>SUM(B49:B52)</f>
        <v>0</v>
      </c>
      <c r="C53" s="28" t="s">
        <v>69</v>
      </c>
      <c r="D53" s="28" t="s">
        <v>69</v>
      </c>
      <c r="E53" s="12">
        <f>SUM(E49:E52)</f>
        <v>-558179.00971875002</v>
      </c>
    </row>
    <row r="54" spans="1:5" x14ac:dyDescent="0.25">
      <c r="A54" s="10"/>
      <c r="B54" s="28"/>
      <c r="C54" s="28"/>
      <c r="D54" s="28"/>
      <c r="E54" s="12"/>
    </row>
    <row r="55" spans="1:5" x14ac:dyDescent="0.25">
      <c r="A55" s="14" t="s">
        <v>61</v>
      </c>
      <c r="B55" s="28">
        <f>SUM(B46:B49)</f>
        <v>0</v>
      </c>
      <c r="C55" s="28" t="s">
        <v>69</v>
      </c>
      <c r="D55" s="28" t="s">
        <v>69</v>
      </c>
      <c r="E55" s="12">
        <f>E46+E53</f>
        <v>318517.32215624989</v>
      </c>
    </row>
    <row r="56" spans="1:5" x14ac:dyDescent="0.25">
      <c r="A56" s="15"/>
      <c r="B56" s="28"/>
      <c r="C56" s="28"/>
      <c r="D56" s="28"/>
      <c r="E56" s="12"/>
    </row>
    <row r="57" spans="1:5" x14ac:dyDescent="0.25">
      <c r="A57" s="10" t="s">
        <v>29</v>
      </c>
      <c r="B57" s="28">
        <f>-B55*35%</f>
        <v>0</v>
      </c>
      <c r="C57" s="28" t="s">
        <v>69</v>
      </c>
      <c r="D57" s="28" t="s">
        <v>69</v>
      </c>
      <c r="E57" s="12">
        <f>-E55*35%</f>
        <v>-111481.06275468746</v>
      </c>
    </row>
    <row r="58" spans="1:5" x14ac:dyDescent="0.25">
      <c r="A58" s="10"/>
      <c r="B58" s="28"/>
      <c r="C58" s="28"/>
      <c r="D58" s="28"/>
      <c r="E58" s="12"/>
    </row>
    <row r="59" spans="1:5" x14ac:dyDescent="0.25">
      <c r="A59" s="15" t="s">
        <v>33</v>
      </c>
      <c r="B59" s="29">
        <f>SUM(B55:B57)</f>
        <v>0</v>
      </c>
      <c r="C59" s="29">
        <f>SUM(C55:C57)</f>
        <v>0</v>
      </c>
      <c r="D59" s="29">
        <f>SUM(D55:D57)</f>
        <v>0</v>
      </c>
      <c r="E59" s="16">
        <f>E55+E57</f>
        <v>207036.25940156245</v>
      </c>
    </row>
    <row r="60" spans="1:5" x14ac:dyDescent="0.25">
      <c r="A60" s="15"/>
      <c r="B60" s="29"/>
      <c r="C60" s="29"/>
      <c r="D60" s="29"/>
      <c r="E60" s="16"/>
    </row>
    <row r="61" spans="1:5" x14ac:dyDescent="0.25">
      <c r="A61" s="15"/>
      <c r="B61" s="29"/>
      <c r="C61" s="29"/>
      <c r="D61" s="29"/>
      <c r="E61" s="16"/>
    </row>
    <row r="62" spans="1:5" x14ac:dyDescent="0.25">
      <c r="A62" s="9" t="s">
        <v>35</v>
      </c>
      <c r="B62" s="26" t="s">
        <v>3</v>
      </c>
      <c r="C62" s="26" t="s">
        <v>7</v>
      </c>
      <c r="D62" s="26" t="s">
        <v>9</v>
      </c>
      <c r="E62" s="11" t="s">
        <v>62</v>
      </c>
    </row>
    <row r="63" spans="1:5" x14ac:dyDescent="0.25">
      <c r="A63" s="11" t="s">
        <v>58</v>
      </c>
      <c r="B63" s="26"/>
      <c r="C63" s="26"/>
      <c r="D63" s="26"/>
      <c r="E63" s="10"/>
    </row>
    <row r="64" spans="1:5" x14ac:dyDescent="0.25">
      <c r="A64" s="10" t="s">
        <v>4</v>
      </c>
      <c r="B64" s="27">
        <v>24156</v>
      </c>
      <c r="C64" s="27">
        <v>10266</v>
      </c>
      <c r="D64" s="27">
        <v>25968</v>
      </c>
      <c r="E64" s="12">
        <f>SUM(B64:D64)</f>
        <v>60390</v>
      </c>
    </row>
    <row r="65" spans="1:5" x14ac:dyDescent="0.25">
      <c r="A65" s="10" t="s">
        <v>5</v>
      </c>
      <c r="B65" s="27" t="s">
        <v>69</v>
      </c>
      <c r="C65" s="27">
        <f>23.5*((102.5%)^3)</f>
        <v>25.306929687499998</v>
      </c>
      <c r="D65" s="27">
        <f>22+2+2</f>
        <v>26</v>
      </c>
      <c r="E65" s="12">
        <f t="shared" ref="E65:E66" si="8">SUM(B65:D65)</f>
        <v>51.306929687500002</v>
      </c>
    </row>
    <row r="66" spans="1:5" x14ac:dyDescent="0.25">
      <c r="A66" s="10" t="s">
        <v>65</v>
      </c>
      <c r="B66" s="27" t="s">
        <v>69</v>
      </c>
      <c r="C66" s="27">
        <f>C64*C65</f>
        <v>259800.94017187497</v>
      </c>
      <c r="D66" s="27">
        <f>D64*D65</f>
        <v>675168</v>
      </c>
      <c r="E66" s="12">
        <f t="shared" si="8"/>
        <v>934968.94017187494</v>
      </c>
    </row>
    <row r="67" spans="1:5" x14ac:dyDescent="0.25">
      <c r="A67" s="10"/>
      <c r="B67" s="27"/>
      <c r="C67" s="27"/>
      <c r="D67" s="27"/>
      <c r="E67" s="12"/>
    </row>
    <row r="68" spans="1:5" x14ac:dyDescent="0.25">
      <c r="A68" s="11" t="s">
        <v>59</v>
      </c>
      <c r="B68" s="27"/>
      <c r="C68" s="27"/>
      <c r="D68" s="27"/>
      <c r="E68" s="12"/>
    </row>
    <row r="69" spans="1:5" x14ac:dyDescent="0.25">
      <c r="A69" s="10" t="s">
        <v>60</v>
      </c>
      <c r="B69" s="28" t="s">
        <v>69</v>
      </c>
      <c r="C69" s="28">
        <f>-8.5*((102.5%)^3)*C64</f>
        <v>-93970.552828125001</v>
      </c>
      <c r="D69" s="28">
        <f>-8.5*((102.5%)^3)*D64</f>
        <v>-237699.913875</v>
      </c>
      <c r="E69" s="13">
        <f>SUM(C69:D69)</f>
        <v>-331670.46670312498</v>
      </c>
    </row>
    <row r="70" spans="1:5" x14ac:dyDescent="0.25">
      <c r="A70" s="10" t="s">
        <v>63</v>
      </c>
      <c r="B70" s="28" t="s">
        <v>69</v>
      </c>
      <c r="C70" s="28">
        <f>-5%*C66</f>
        <v>-12990.047008593749</v>
      </c>
      <c r="D70" s="28">
        <f>-5%*D66</f>
        <v>-33758.400000000001</v>
      </c>
      <c r="E70" s="13">
        <f>-5%*E66</f>
        <v>-46748.44700859375</v>
      </c>
    </row>
    <row r="71" spans="1:5" x14ac:dyDescent="0.25">
      <c r="A71" s="10" t="s">
        <v>64</v>
      </c>
      <c r="B71" s="28" t="s">
        <v>69</v>
      </c>
      <c r="C71" s="28" t="s">
        <v>69</v>
      </c>
      <c r="D71" s="28" t="s">
        <v>69</v>
      </c>
      <c r="E71" s="12">
        <f>-0.5%*135*E64</f>
        <v>-40763.25</v>
      </c>
    </row>
    <row r="72" spans="1:5" x14ac:dyDescent="0.25">
      <c r="A72" s="10" t="s">
        <v>66</v>
      </c>
      <c r="B72" s="28">
        <f>SUM(B69:B71)</f>
        <v>0</v>
      </c>
      <c r="C72" s="28" t="s">
        <v>69</v>
      </c>
      <c r="D72" s="28" t="s">
        <v>69</v>
      </c>
      <c r="E72" s="12">
        <f>SUM(E69:E71)</f>
        <v>-419182.16371171875</v>
      </c>
    </row>
    <row r="73" spans="1:5" x14ac:dyDescent="0.25">
      <c r="A73" s="10"/>
      <c r="B73" s="28"/>
      <c r="C73" s="28"/>
      <c r="D73" s="28"/>
      <c r="E73" s="12"/>
    </row>
    <row r="74" spans="1:5" x14ac:dyDescent="0.25">
      <c r="A74" s="14" t="s">
        <v>61</v>
      </c>
      <c r="B74" s="28">
        <f>SUM(B66:B69)</f>
        <v>0</v>
      </c>
      <c r="C74" s="28" t="s">
        <v>69</v>
      </c>
      <c r="D74" s="28" t="s">
        <v>69</v>
      </c>
      <c r="E74" s="12">
        <f>E66+E72</f>
        <v>515786.77646015619</v>
      </c>
    </row>
    <row r="75" spans="1:5" x14ac:dyDescent="0.25">
      <c r="A75" s="15"/>
      <c r="B75" s="28"/>
      <c r="C75" s="28"/>
      <c r="D75" s="28"/>
      <c r="E75" s="12"/>
    </row>
    <row r="76" spans="1:5" x14ac:dyDescent="0.25">
      <c r="A76" s="10" t="s">
        <v>29</v>
      </c>
      <c r="B76" s="28">
        <f>-B74*35%</f>
        <v>0</v>
      </c>
      <c r="C76" s="28" t="s">
        <v>69</v>
      </c>
      <c r="D76" s="28" t="s">
        <v>69</v>
      </c>
      <c r="E76" s="12">
        <f>-E74*35%</f>
        <v>-180525.37176105464</v>
      </c>
    </row>
    <row r="77" spans="1:5" x14ac:dyDescent="0.25">
      <c r="A77" s="10"/>
      <c r="B77" s="28"/>
      <c r="C77" s="28"/>
      <c r="D77" s="28"/>
      <c r="E77" s="12"/>
    </row>
    <row r="78" spans="1:5" x14ac:dyDescent="0.25">
      <c r="A78" s="15" t="s">
        <v>33</v>
      </c>
      <c r="B78" s="29">
        <f>SUM(B74:B76)</f>
        <v>0</v>
      </c>
      <c r="C78" s="29">
        <f>SUM(C74:C76)</f>
        <v>0</v>
      </c>
      <c r="D78" s="29">
        <f>SUM(D74:D76)</f>
        <v>0</v>
      </c>
      <c r="E78" s="16">
        <f>E74+E76</f>
        <v>335261.40469910158</v>
      </c>
    </row>
    <row r="79" spans="1:5" x14ac:dyDescent="0.25">
      <c r="A79" s="15"/>
      <c r="B79" s="29"/>
      <c r="C79" s="29"/>
      <c r="D79" s="29"/>
      <c r="E79" s="16"/>
    </row>
    <row r="80" spans="1:5" x14ac:dyDescent="0.25">
      <c r="A80" s="15"/>
      <c r="B80" s="29"/>
      <c r="C80" s="29"/>
      <c r="D80" s="29"/>
      <c r="E80" s="16"/>
    </row>
    <row r="81" spans="1:5" x14ac:dyDescent="0.25">
      <c r="A81" s="9" t="s">
        <v>36</v>
      </c>
      <c r="B81" s="26" t="s">
        <v>3</v>
      </c>
      <c r="C81" s="26" t="s">
        <v>7</v>
      </c>
      <c r="D81" s="26" t="s">
        <v>9</v>
      </c>
      <c r="E81" s="11" t="s">
        <v>62</v>
      </c>
    </row>
    <row r="82" spans="1:5" x14ac:dyDescent="0.25">
      <c r="A82" s="11" t="s">
        <v>58</v>
      </c>
      <c r="B82" s="26"/>
      <c r="C82" s="26"/>
      <c r="D82" s="26"/>
      <c r="E82" s="10"/>
    </row>
    <row r="83" spans="1:5" x14ac:dyDescent="0.25">
      <c r="A83" s="10" t="s">
        <v>4</v>
      </c>
      <c r="B83" s="27">
        <v>24156</v>
      </c>
      <c r="C83" s="27">
        <v>10266</v>
      </c>
      <c r="D83" s="27">
        <v>25968</v>
      </c>
      <c r="E83" s="12">
        <f>SUM(B83:D83)</f>
        <v>60390</v>
      </c>
    </row>
    <row r="84" spans="1:5" x14ac:dyDescent="0.25">
      <c r="A84" s="10" t="s">
        <v>5</v>
      </c>
      <c r="B84" s="27" t="s">
        <v>69</v>
      </c>
      <c r="C84" s="27" t="s">
        <v>69</v>
      </c>
      <c r="D84" s="27">
        <f>22+2+2</f>
        <v>26</v>
      </c>
      <c r="E84" s="12">
        <f t="shared" ref="E84:E85" si="9">SUM(B84:D84)</f>
        <v>26</v>
      </c>
    </row>
    <row r="85" spans="1:5" x14ac:dyDescent="0.25">
      <c r="A85" s="10" t="s">
        <v>65</v>
      </c>
      <c r="B85" s="27" t="s">
        <v>69</v>
      </c>
      <c r="C85" s="27" t="s">
        <v>69</v>
      </c>
      <c r="D85" s="27">
        <f>D83*D84</f>
        <v>675168</v>
      </c>
      <c r="E85" s="12">
        <f t="shared" si="9"/>
        <v>675168</v>
      </c>
    </row>
    <row r="86" spans="1:5" x14ac:dyDescent="0.25">
      <c r="A86" s="10"/>
      <c r="B86" s="27"/>
      <c r="C86" s="27"/>
      <c r="D86" s="27"/>
      <c r="E86" s="12"/>
    </row>
    <row r="87" spans="1:5" x14ac:dyDescent="0.25">
      <c r="A87" s="11" t="s">
        <v>59</v>
      </c>
      <c r="B87" s="27"/>
      <c r="C87" s="27"/>
      <c r="D87" s="27"/>
      <c r="E87" s="12"/>
    </row>
    <row r="88" spans="1:5" x14ac:dyDescent="0.25">
      <c r="A88" s="10" t="s">
        <v>60</v>
      </c>
      <c r="B88" s="28" t="s">
        <v>69</v>
      </c>
      <c r="C88" s="28" t="s">
        <v>69</v>
      </c>
      <c r="D88" s="28">
        <f>-8.5*((102.5%)^3)*D83</f>
        <v>-237699.913875</v>
      </c>
      <c r="E88" s="13">
        <f>D88</f>
        <v>-237699.913875</v>
      </c>
    </row>
    <row r="89" spans="1:5" x14ac:dyDescent="0.25">
      <c r="A89" s="10" t="s">
        <v>63</v>
      </c>
      <c r="B89" s="28" t="s">
        <v>69</v>
      </c>
      <c r="C89" s="28" t="s">
        <v>69</v>
      </c>
      <c r="D89" s="28">
        <f>-5%*D85</f>
        <v>-33758.400000000001</v>
      </c>
      <c r="E89" s="13">
        <f>-5%*E85</f>
        <v>-33758.400000000001</v>
      </c>
    </row>
    <row r="90" spans="1:5" x14ac:dyDescent="0.25">
      <c r="A90" s="10" t="s">
        <v>64</v>
      </c>
      <c r="B90" s="28" t="s">
        <v>69</v>
      </c>
      <c r="C90" s="28" t="s">
        <v>69</v>
      </c>
      <c r="D90" s="28" t="s">
        <v>69</v>
      </c>
      <c r="E90" s="12">
        <f>-0.5%*135*E83</f>
        <v>-40763.25</v>
      </c>
    </row>
    <row r="91" spans="1:5" x14ac:dyDescent="0.25">
      <c r="A91" s="10" t="s">
        <v>66</v>
      </c>
      <c r="B91" s="28">
        <f>SUM(B88:B90)</f>
        <v>0</v>
      </c>
      <c r="C91" s="28" t="s">
        <v>69</v>
      </c>
      <c r="D91" s="28" t="s">
        <v>69</v>
      </c>
      <c r="E91" s="12">
        <f>SUM(E88:E90)</f>
        <v>-312221.56387499999</v>
      </c>
    </row>
    <row r="92" spans="1:5" x14ac:dyDescent="0.25">
      <c r="A92" s="10"/>
      <c r="B92" s="28"/>
      <c r="C92" s="28"/>
      <c r="D92" s="28"/>
      <c r="E92" s="12"/>
    </row>
    <row r="93" spans="1:5" x14ac:dyDescent="0.25">
      <c r="A93" s="14" t="s">
        <v>61</v>
      </c>
      <c r="B93" s="28">
        <f>SUM(B85:B88)</f>
        <v>0</v>
      </c>
      <c r="C93" s="28" t="s">
        <v>69</v>
      </c>
      <c r="D93" s="28" t="s">
        <v>69</v>
      </c>
      <c r="E93" s="12">
        <f>E85+E91</f>
        <v>362946.43612500001</v>
      </c>
    </row>
    <row r="94" spans="1:5" x14ac:dyDescent="0.25">
      <c r="A94" s="15"/>
      <c r="B94" s="28"/>
      <c r="C94" s="28"/>
      <c r="D94" s="28"/>
      <c r="E94" s="12"/>
    </row>
    <row r="95" spans="1:5" x14ac:dyDescent="0.25">
      <c r="A95" s="10" t="s">
        <v>29</v>
      </c>
      <c r="B95" s="28">
        <f>-B93*35%</f>
        <v>0</v>
      </c>
      <c r="C95" s="28" t="s">
        <v>69</v>
      </c>
      <c r="D95" s="28" t="s">
        <v>69</v>
      </c>
      <c r="E95" s="12">
        <f>-E93*35%</f>
        <v>-127031.25264374999</v>
      </c>
    </row>
    <row r="96" spans="1:5" x14ac:dyDescent="0.25">
      <c r="A96" s="10"/>
      <c r="B96" s="28"/>
      <c r="C96" s="28"/>
      <c r="D96" s="28"/>
      <c r="E96" s="12"/>
    </row>
    <row r="97" spans="1:5" x14ac:dyDescent="0.25">
      <c r="A97" s="15" t="s">
        <v>33</v>
      </c>
      <c r="B97" s="29">
        <f>SUM(B93:B95)</f>
        <v>0</v>
      </c>
      <c r="C97" s="29">
        <f>SUM(C93:C95)</f>
        <v>0</v>
      </c>
      <c r="D97" s="29">
        <f>SUM(D93:D95)</f>
        <v>0</v>
      </c>
      <c r="E97" s="16">
        <f>E93+E95</f>
        <v>235915.18348125002</v>
      </c>
    </row>
    <row r="98" spans="1:5" x14ac:dyDescent="0.25">
      <c r="A98" s="15"/>
      <c r="B98" s="29"/>
      <c r="C98" s="29"/>
      <c r="D98" s="29"/>
      <c r="E98" s="16"/>
    </row>
    <row r="99" spans="1:5" x14ac:dyDescent="0.25">
      <c r="A99" s="15"/>
      <c r="B99" s="29"/>
      <c r="C99" s="29"/>
      <c r="D99" s="29"/>
      <c r="E99" s="16"/>
    </row>
    <row r="100" spans="1:5" x14ac:dyDescent="0.25">
      <c r="A100" s="9" t="s">
        <v>37</v>
      </c>
      <c r="B100" s="26" t="s">
        <v>3</v>
      </c>
      <c r="C100" s="26" t="s">
        <v>7</v>
      </c>
      <c r="D100" s="26" t="s">
        <v>9</v>
      </c>
      <c r="E100" s="11" t="s">
        <v>62</v>
      </c>
    </row>
    <row r="101" spans="1:5" x14ac:dyDescent="0.25">
      <c r="A101" s="11" t="s">
        <v>58</v>
      </c>
      <c r="B101" s="26"/>
      <c r="C101" s="26"/>
      <c r="D101" s="26"/>
      <c r="E101" s="10"/>
    </row>
    <row r="102" spans="1:5" x14ac:dyDescent="0.25">
      <c r="A102" s="10" t="s">
        <v>4</v>
      </c>
      <c r="B102" s="27">
        <v>24156</v>
      </c>
      <c r="C102" s="27">
        <v>10266</v>
      </c>
      <c r="D102" s="27">
        <v>25968</v>
      </c>
      <c r="E102" s="12">
        <f>SUM(B102:D102)</f>
        <v>60390</v>
      </c>
    </row>
    <row r="103" spans="1:5" x14ac:dyDescent="0.25">
      <c r="A103" s="10" t="s">
        <v>5</v>
      </c>
      <c r="B103" s="27" t="s">
        <v>69</v>
      </c>
      <c r="C103" s="27" t="s">
        <v>69</v>
      </c>
      <c r="D103" s="27">
        <f>22+2+2</f>
        <v>26</v>
      </c>
      <c r="E103" s="12">
        <f t="shared" ref="E103:E104" si="10">SUM(B103:D103)</f>
        <v>26</v>
      </c>
    </row>
    <row r="104" spans="1:5" x14ac:dyDescent="0.25">
      <c r="A104" s="10" t="s">
        <v>65</v>
      </c>
      <c r="B104" s="27" t="s">
        <v>69</v>
      </c>
      <c r="C104" s="27" t="s">
        <v>69</v>
      </c>
      <c r="D104" s="27">
        <f>D102*D103</f>
        <v>675168</v>
      </c>
      <c r="E104" s="12">
        <f t="shared" si="10"/>
        <v>675168</v>
      </c>
    </row>
    <row r="105" spans="1:5" x14ac:dyDescent="0.25">
      <c r="A105" s="10"/>
      <c r="B105" s="27"/>
      <c r="C105" s="27"/>
      <c r="D105" s="27"/>
      <c r="E105" s="12"/>
    </row>
    <row r="106" spans="1:5" x14ac:dyDescent="0.25">
      <c r="A106" s="11" t="s">
        <v>59</v>
      </c>
      <c r="B106" s="27"/>
      <c r="C106" s="27"/>
      <c r="D106" s="27"/>
      <c r="E106" s="12"/>
    </row>
    <row r="107" spans="1:5" x14ac:dyDescent="0.25">
      <c r="A107" s="10" t="s">
        <v>60</v>
      </c>
      <c r="B107" s="28" t="s">
        <v>69</v>
      </c>
      <c r="C107" s="28" t="s">
        <v>69</v>
      </c>
      <c r="D107" s="28">
        <f>-8.5*((102.5%)^3)*D102</f>
        <v>-237699.913875</v>
      </c>
      <c r="E107" s="13">
        <f>D107</f>
        <v>-237699.913875</v>
      </c>
    </row>
    <row r="108" spans="1:5" x14ac:dyDescent="0.25">
      <c r="A108" s="10" t="s">
        <v>63</v>
      </c>
      <c r="B108" s="28" t="s">
        <v>69</v>
      </c>
      <c r="C108" s="28" t="s">
        <v>69</v>
      </c>
      <c r="D108" s="28">
        <f>-5%*D104</f>
        <v>-33758.400000000001</v>
      </c>
      <c r="E108" s="13">
        <f>-5%*E104</f>
        <v>-33758.400000000001</v>
      </c>
    </row>
    <row r="109" spans="1:5" x14ac:dyDescent="0.25">
      <c r="A109" s="10" t="s">
        <v>64</v>
      </c>
      <c r="B109" s="28" t="s">
        <v>69</v>
      </c>
      <c r="C109" s="28" t="s">
        <v>69</v>
      </c>
      <c r="D109" s="28" t="s">
        <v>69</v>
      </c>
      <c r="E109" s="12">
        <f>-0.5%*135*E102</f>
        <v>-40763.25</v>
      </c>
    </row>
    <row r="110" spans="1:5" x14ac:dyDescent="0.25">
      <c r="A110" s="10" t="s">
        <v>66</v>
      </c>
      <c r="B110" s="28">
        <f>SUM(B107:B109)</f>
        <v>0</v>
      </c>
      <c r="C110" s="28" t="s">
        <v>69</v>
      </c>
      <c r="D110" s="28" t="s">
        <v>69</v>
      </c>
      <c r="E110" s="12">
        <f>SUM(E107:E109)</f>
        <v>-312221.56387499999</v>
      </c>
    </row>
    <row r="111" spans="1:5" x14ac:dyDescent="0.25">
      <c r="A111" s="10"/>
      <c r="B111" s="28"/>
      <c r="C111" s="28"/>
      <c r="D111" s="28"/>
      <c r="E111" s="12"/>
    </row>
    <row r="112" spans="1:5" x14ac:dyDescent="0.25">
      <c r="A112" s="14" t="s">
        <v>61</v>
      </c>
      <c r="B112" s="28">
        <f>SUM(B104:B107)</f>
        <v>0</v>
      </c>
      <c r="C112" s="28" t="s">
        <v>69</v>
      </c>
      <c r="D112" s="28" t="s">
        <v>69</v>
      </c>
      <c r="E112" s="12">
        <f>E104+E110</f>
        <v>362946.43612500001</v>
      </c>
    </row>
    <row r="113" spans="1:5" x14ac:dyDescent="0.25">
      <c r="A113" s="15"/>
      <c r="B113" s="28"/>
      <c r="C113" s="28"/>
      <c r="D113" s="28"/>
      <c r="E113" s="12"/>
    </row>
    <row r="114" spans="1:5" x14ac:dyDescent="0.25">
      <c r="A114" s="10" t="s">
        <v>29</v>
      </c>
      <c r="B114" s="28">
        <f>-B112*35%</f>
        <v>0</v>
      </c>
      <c r="C114" s="28" t="s">
        <v>69</v>
      </c>
      <c r="D114" s="28" t="s">
        <v>69</v>
      </c>
      <c r="E114" s="12">
        <f>-E112*35%</f>
        <v>-127031.25264374999</v>
      </c>
    </row>
    <row r="115" spans="1:5" x14ac:dyDescent="0.25">
      <c r="A115" s="10"/>
      <c r="B115" s="28"/>
      <c r="C115" s="28"/>
      <c r="D115" s="28"/>
      <c r="E115" s="12"/>
    </row>
    <row r="116" spans="1:5" x14ac:dyDescent="0.25">
      <c r="A116" s="15" t="s">
        <v>33</v>
      </c>
      <c r="B116" s="29">
        <f>SUM(B112:B114)</f>
        <v>0</v>
      </c>
      <c r="C116" s="29">
        <f>SUM(C112:C114)</f>
        <v>0</v>
      </c>
      <c r="D116" s="29">
        <f>SUM(D112:D114)</f>
        <v>0</v>
      </c>
      <c r="E116" s="16">
        <f>E112+E114</f>
        <v>235915.18348125002</v>
      </c>
    </row>
    <row r="117" spans="1:5" x14ac:dyDescent="0.25">
      <c r="A117" s="15"/>
      <c r="B117" s="29"/>
      <c r="C117" s="29"/>
      <c r="D117" s="29"/>
      <c r="E117" s="16"/>
    </row>
    <row r="118" spans="1:5" x14ac:dyDescent="0.25">
      <c r="A118" s="1"/>
      <c r="B118" s="18"/>
      <c r="C118" s="18"/>
      <c r="D118" s="18"/>
      <c r="E118" s="1"/>
    </row>
    <row r="119" spans="1:5" x14ac:dyDescent="0.25">
      <c r="A119" s="1"/>
      <c r="B119" s="31"/>
      <c r="C119" s="31"/>
      <c r="D119" s="31"/>
      <c r="E119" s="4"/>
    </row>
    <row r="120" spans="1:5" x14ac:dyDescent="0.25">
      <c r="A120" s="1"/>
      <c r="B120" s="33"/>
      <c r="C120" s="31"/>
      <c r="D120" s="31"/>
      <c r="E120" s="4"/>
    </row>
    <row r="121" spans="1:5" x14ac:dyDescent="0.25">
      <c r="A121" s="1"/>
      <c r="B121" s="31"/>
      <c r="C121" s="31"/>
      <c r="D121" s="31"/>
      <c r="E121" s="4"/>
    </row>
    <row r="122" spans="1:5" x14ac:dyDescent="0.25">
      <c r="A122" s="1"/>
      <c r="B122" s="31"/>
      <c r="C122" s="31"/>
      <c r="D122" s="31"/>
      <c r="E122" s="4"/>
    </row>
    <row r="123" spans="1:5" x14ac:dyDescent="0.25">
      <c r="A123" s="1"/>
      <c r="B123" s="31"/>
      <c r="C123" s="31"/>
      <c r="D123" s="31"/>
      <c r="E123" s="4"/>
    </row>
    <row r="124" spans="1:5" x14ac:dyDescent="0.25">
      <c r="A124" s="1"/>
      <c r="B124" s="31"/>
      <c r="C124" s="32"/>
      <c r="D124" s="18"/>
      <c r="E124" s="1"/>
    </row>
    <row r="125" spans="1:5" x14ac:dyDescent="0.25">
      <c r="A125" s="1"/>
      <c r="B125" s="30"/>
      <c r="C125" s="30"/>
      <c r="D125" s="30"/>
      <c r="E125" s="5"/>
    </row>
    <row r="126" spans="1:5" x14ac:dyDescent="0.25">
      <c r="A126" s="1"/>
      <c r="B126" s="18"/>
      <c r="C126" s="32"/>
      <c r="D126" s="18"/>
      <c r="E126" s="1"/>
    </row>
    <row r="127" spans="1:5" x14ac:dyDescent="0.25">
      <c r="A127" s="1"/>
      <c r="B127" s="30"/>
      <c r="C127" s="30"/>
      <c r="D127" s="30"/>
      <c r="E127" s="5"/>
    </row>
    <row r="128" spans="1:5" x14ac:dyDescent="0.25">
      <c r="A128" s="1"/>
      <c r="B128" s="18"/>
      <c r="C128" s="18"/>
      <c r="D128" s="30"/>
      <c r="E128" s="5"/>
    </row>
    <row r="129" spans="1:5" x14ac:dyDescent="0.25">
      <c r="A129" s="1"/>
      <c r="B129" s="30"/>
      <c r="C129" s="30"/>
      <c r="D129" s="30"/>
      <c r="E129" s="5"/>
    </row>
    <row r="130" spans="1:5" x14ac:dyDescent="0.25">
      <c r="A130" s="1"/>
      <c r="B130" s="18"/>
      <c r="C130" s="18"/>
      <c r="D130" s="18"/>
      <c r="E13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18" sqref="C18"/>
    </sheetView>
  </sheetViews>
  <sheetFormatPr defaultRowHeight="15" x14ac:dyDescent="0.25"/>
  <cols>
    <col min="1" max="1" width="20.5703125" bestFit="1" customWidth="1"/>
    <col min="2" max="2" width="35.7109375" customWidth="1"/>
    <col min="3" max="3" width="27.42578125" customWidth="1"/>
  </cols>
  <sheetData>
    <row r="1" spans="1:3" x14ac:dyDescent="0.25">
      <c r="B1" s="38" t="s">
        <v>74</v>
      </c>
    </row>
    <row r="3" spans="1:3" x14ac:dyDescent="0.25">
      <c r="A3" t="s">
        <v>75</v>
      </c>
      <c r="B3" s="35">
        <v>7.4999999999999997E-2</v>
      </c>
    </row>
    <row r="5" spans="1:3" s="38" customFormat="1" x14ac:dyDescent="0.25">
      <c r="A5" s="38" t="s">
        <v>72</v>
      </c>
      <c r="B5" s="38" t="s">
        <v>33</v>
      </c>
      <c r="C5" s="38" t="s">
        <v>73</v>
      </c>
    </row>
    <row r="6" spans="1:3" x14ac:dyDescent="0.25">
      <c r="A6">
        <v>0</v>
      </c>
      <c r="B6" s="40">
        <f>'Yearly Cashflow'!E20</f>
        <v>587035.80000000005</v>
      </c>
      <c r="C6" s="34">
        <f>B6*(1+B3)^-A6</f>
        <v>587035.80000000005</v>
      </c>
    </row>
    <row r="7" spans="1:3" x14ac:dyDescent="0.25">
      <c r="A7">
        <v>1</v>
      </c>
      <c r="B7" s="40">
        <f>'Yearly Cashflow'!E39</f>
        <v>616373.16</v>
      </c>
      <c r="C7">
        <f>B7*(1+B3)^-A7</f>
        <v>573370.38139534881</v>
      </c>
    </row>
    <row r="8" spans="1:3" x14ac:dyDescent="0.25">
      <c r="A8">
        <v>2</v>
      </c>
      <c r="B8" s="40">
        <f>'Yearly Cashflow'!E59</f>
        <v>207036.25940156245</v>
      </c>
      <c r="C8">
        <f>B8*(1+B3)^-A8</f>
        <v>179155.22717279606</v>
      </c>
    </row>
    <row r="9" spans="1:3" x14ac:dyDescent="0.25">
      <c r="A9">
        <v>3</v>
      </c>
      <c r="B9" s="40">
        <f>'Yearly Cashflow'!E78</f>
        <v>335261.40469910158</v>
      </c>
      <c r="C9">
        <f>B9*(1+B3)^-A9</f>
        <v>269872.21126117831</v>
      </c>
    </row>
    <row r="10" spans="1:3" x14ac:dyDescent="0.25">
      <c r="A10">
        <v>4</v>
      </c>
      <c r="B10" s="40">
        <f>'Yearly Cashflow'!E97</f>
        <v>235915.18348125002</v>
      </c>
      <c r="C10">
        <f>B10*(1+B3)^-A10</f>
        <v>176653.41437305071</v>
      </c>
    </row>
    <row r="11" spans="1:3" x14ac:dyDescent="0.25">
      <c r="A11">
        <v>5</v>
      </c>
      <c r="B11" s="40">
        <f>'Yearly Cashflow'!E116</f>
        <v>235915.18348125002</v>
      </c>
      <c r="C11">
        <f>B11*(1+B3)^-A11</f>
        <v>164328.75755632622</v>
      </c>
    </row>
    <row r="13" spans="1:3" x14ac:dyDescent="0.25">
      <c r="A13" s="37" t="s">
        <v>38</v>
      </c>
      <c r="C13" s="36">
        <f>SUM(C6:C11)</f>
        <v>1950415.7917587003</v>
      </c>
    </row>
    <row r="15" spans="1:3" x14ac:dyDescent="0.25">
      <c r="A15" s="37" t="s">
        <v>76</v>
      </c>
      <c r="B15" s="39" t="e">
        <f>IRR(B6:B11,B18)</f>
        <v>#NUM!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 of Finance</vt:lpstr>
      <vt:lpstr>Yearly Cashflow</vt:lpstr>
      <vt:lpstr>Discounted Cashflow Analysis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</dc:creator>
  <cp:lastModifiedBy>Job</cp:lastModifiedBy>
  <dcterms:created xsi:type="dcterms:W3CDTF">2017-10-17T04:37:00Z</dcterms:created>
  <dcterms:modified xsi:type="dcterms:W3CDTF">2017-10-17T16:24:35Z</dcterms:modified>
</cp:coreProperties>
</file>